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入力シート" sheetId="1" r:id="rId1"/>
    <sheet name="国民健康保険税の目安" sheetId="2" r:id="rId2"/>
  </sheets>
  <definedNames>
    <definedName name="_xlnm.Print_Area" localSheetId="1">'国民健康保険税の目安'!$A$1:$G$59</definedName>
  </definedNames>
  <calcPr fullCalcOnLoad="1"/>
</workbook>
</file>

<file path=xl/sharedStrings.xml><?xml version="1.0" encoding="utf-8"?>
<sst xmlns="http://schemas.openxmlformats.org/spreadsheetml/2006/main" count="122" uniqueCount="51">
  <si>
    <t>世帯平等割額</t>
  </si>
  <si>
    <t>被保険者均等割額</t>
  </si>
  <si>
    <t>所得割額</t>
  </si>
  <si>
    <t>円</t>
  </si>
  <si>
    <t>40から64歳の方</t>
  </si>
  <si>
    <t>単位：円</t>
  </si>
  <si>
    <t>医 療 分</t>
  </si>
  <si>
    <t>後 期 分</t>
  </si>
  <si>
    <t>介 護 分</t>
  </si>
  <si>
    <t>（２人目）</t>
  </si>
  <si>
    <t>（１人目）</t>
  </si>
  <si>
    <t>（３人目）</t>
  </si>
  <si>
    <t>（４人目）</t>
  </si>
  <si>
    <t>（５人目）</t>
  </si>
  <si>
    <t>（６人目）</t>
  </si>
  <si>
    <t>合　　計</t>
  </si>
  <si>
    <t>ヵ月</t>
  </si>
  <si>
    <t xml:space="preserve"> 昨年の所得</t>
  </si>
  <si>
    <t xml:space="preserve"> 加入月数</t>
  </si>
  <si>
    <r>
      <t>（該当者は</t>
    </r>
    <r>
      <rPr>
        <b/>
        <sz val="10"/>
        <rFont val="ＭＳ Ｐゴシック"/>
        <family val="3"/>
      </rPr>
      <t>□</t>
    </r>
    <r>
      <rPr>
        <sz val="10"/>
        <rFont val="ＭＳ Ｐゴシック"/>
        <family val="3"/>
      </rPr>
      <t>にチェック）</t>
    </r>
  </si>
  <si>
    <t>◎ 詳しくは国民健康保険税担当者までごお問い合わせください。TEL(0287-72-6936)</t>
  </si>
  <si>
    <t>世帯の所得状況に応じて均等割及び平等割に以下の軽減が適用されます。</t>
  </si>
  <si>
    <t>※2：同じ世帯の中で、国民健康保険の被保険者から後期高齢者医療の被保険者に移行した方を含む</t>
  </si>
  <si>
    <t>※1：一定の給与所得者（給与収入55万円超）と公的年金等の支給（60万円超（65歳未満）又は</t>
  </si>
  <si>
    <t>国民健康保険税試算表</t>
  </si>
  <si>
    <t>世帯の国民健康保険税額（目安額）</t>
  </si>
  <si>
    <t>　入力後、シート「国民健康保険税の目安」をご覧いただくと目安額が表示されます。</t>
  </si>
  <si>
    <t>【目安額】</t>
  </si>
  <si>
    <t>年金受給の方</t>
  </si>
  <si>
    <t>　国民健康保険税(国保)に加入される方すべての昨年(前年)の所得額及び加入月数（1年なら12ヵ月)を入力してください。</t>
  </si>
  <si>
    <t>円</t>
  </si>
  <si>
    <t>世帯主</t>
  </si>
  <si>
    <t>擬制世帯主</t>
  </si>
  <si>
    <t>　　　　　世帯主は、国保加入者ですか。(ハイの場合最初の□に✓）</t>
  </si>
  <si>
    <t>ヵ月</t>
  </si>
  <si>
    <t>　また、40歳から65歳の方・年金受給の方は右の□をクリックしてチェックをしてください。</t>
  </si>
  <si>
    <t>税率</t>
  </si>
  <si>
    <t>均等割</t>
  </si>
  <si>
    <t>平等割</t>
  </si>
  <si>
    <t>限度額</t>
  </si>
  <si>
    <t>医療分</t>
  </si>
  <si>
    <t>後期分</t>
  </si>
  <si>
    <t>介護分</t>
  </si>
  <si>
    <t>●基礎控除額(43万円)+10万円×(給与所得者数(※1)-1)
　以下の場合は、７割軽減が適用されます。</t>
  </si>
  <si>
    <t>5割軽減基礎額</t>
  </si>
  <si>
    <t>2割軽減基礎額</t>
  </si>
  <si>
    <t>　再度計算される場合は、必ずいったん終了し、再度シートを起動してから計算をしてください。</t>
  </si>
  <si>
    <t>　※【目安額】は、あくまでも目安です。</t>
  </si>
  <si>
    <t>軽減判定用所得額</t>
  </si>
  <si>
    <t>目安額にも適用されていますが、人数の関係上金額が違う場合があります。</t>
  </si>
  <si>
    <t>　　 110万円超（65歳以上））を受ける方　  　(給与所得者の数-1)が0未満になるときは0とする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</si>
</sst>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_ "/>
    <numFmt numFmtId="179" formatCode="0.000_ "/>
  </numFmts>
  <fonts count="67">
    <font>
      <sz val="11"/>
      <name val="ＭＳ Ｐゴシック"/>
      <family val="3"/>
    </font>
    <font>
      <sz val="11"/>
      <color indexed="8"/>
      <name val="ＭＳ Ｐゴシック"/>
      <family val="3"/>
    </font>
    <font>
      <sz val="6"/>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b/>
      <sz val="10"/>
      <name val="ＭＳ Ｐゴシック"/>
      <family val="3"/>
    </font>
    <font>
      <sz val="14"/>
      <name val="ＭＳ Ｐゴシック"/>
      <family val="3"/>
    </font>
    <font>
      <b/>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9"/>
      <name val="ＭＳ ゴシック"/>
      <family val="3"/>
    </font>
    <font>
      <sz val="10"/>
      <color indexed="9"/>
      <name val="ＭＳ ゴシック"/>
      <family val="3"/>
    </font>
    <font>
      <sz val="11"/>
      <color indexed="9"/>
      <name val="ＭＳ ゴシック"/>
      <family val="3"/>
    </font>
    <font>
      <sz val="12"/>
      <color indexed="9"/>
      <name val="ＭＳ ゴシック"/>
      <family val="3"/>
    </font>
    <font>
      <sz val="11"/>
      <color indexed="8"/>
      <name val="ＭＳ ゴシック"/>
      <family val="3"/>
    </font>
    <font>
      <b/>
      <sz val="12"/>
      <color indexed="8"/>
      <name val="ＭＳ ゴシック"/>
      <family val="3"/>
    </font>
    <font>
      <sz val="12"/>
      <color indexed="8"/>
      <name val="ＭＳ ゴシック"/>
      <family val="3"/>
    </font>
    <font>
      <b/>
      <sz val="12.5"/>
      <color indexed="8"/>
      <name val="ＭＳ ゴシック"/>
      <family val="3"/>
    </font>
    <font>
      <b/>
      <sz val="11"/>
      <color indexed="8"/>
      <name val="ＭＳ ゴシック"/>
      <family val="3"/>
    </font>
    <font>
      <sz val="11"/>
      <color indexed="10"/>
      <name val="ＭＳ ゴシック"/>
      <family val="3"/>
    </font>
    <font>
      <sz val="20"/>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3"/>
      <color theme="0"/>
      <name val="ＭＳ ゴシック"/>
      <family val="3"/>
    </font>
    <font>
      <sz val="10"/>
      <color theme="0"/>
      <name val="ＭＳ ゴシック"/>
      <family val="3"/>
    </font>
    <font>
      <sz val="11"/>
      <color theme="0"/>
      <name val="ＭＳ ゴシック"/>
      <family val="3"/>
    </font>
    <font>
      <sz val="12"/>
      <color theme="0"/>
      <name val="ＭＳ ゴシック"/>
      <family val="3"/>
    </font>
    <font>
      <sz val="11"/>
      <color theme="1"/>
      <name val="ＭＳ Ｐゴシック"/>
      <family val="3"/>
    </font>
    <font>
      <sz val="11"/>
      <color theme="1"/>
      <name val="ＭＳ ゴシック"/>
      <family val="3"/>
    </font>
    <font>
      <b/>
      <sz val="12"/>
      <color theme="1"/>
      <name val="ＭＳ ゴシック"/>
      <family val="3"/>
    </font>
    <font>
      <sz val="12"/>
      <color theme="1"/>
      <name val="ＭＳ ゴシック"/>
      <family val="3"/>
    </font>
    <font>
      <b/>
      <sz val="12.5"/>
      <color theme="1"/>
      <name val="ＭＳ ゴシック"/>
      <family val="3"/>
    </font>
    <font>
      <b/>
      <sz val="11"/>
      <color theme="1"/>
      <name val="ＭＳ ゴシック"/>
      <family val="3"/>
    </font>
    <font>
      <sz val="11"/>
      <color rgb="FFFF0000"/>
      <name val="ＭＳ ゴシック"/>
      <family val="3"/>
    </font>
    <font>
      <sz val="2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style="medium"/>
      <top style="medium"/>
      <bottom style="medium"/>
    </border>
    <border>
      <left style="medium"/>
      <right style="medium"/>
      <top style="medium"/>
      <bottom style="medium"/>
    </border>
    <border>
      <left style="medium"/>
      <right/>
      <top/>
      <bottom/>
    </border>
    <border>
      <left/>
      <right/>
      <top style="medium"/>
      <bottom/>
    </border>
    <border>
      <left style="thin"/>
      <right style="thin"/>
      <top style="thin"/>
      <bottom style="thin"/>
    </border>
    <border diagonalDown="1">
      <left style="medium"/>
      <right style="medium"/>
      <top style="medium"/>
      <bottom style="medium"/>
      <diagonal style="hair"/>
    </border>
    <border>
      <left style="medium"/>
      <right style="thin"/>
      <top style="medium"/>
      <bottom style="medium"/>
    </border>
    <border>
      <left style="thin"/>
      <right style="thin"/>
      <top style="medium"/>
      <bottom/>
    </border>
    <border>
      <left style="thin"/>
      <right/>
      <top style="medium"/>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top style="thin"/>
      <bottom style="thin"/>
    </border>
    <border>
      <left style="medium"/>
      <right style="thin"/>
      <top style="thin"/>
      <bottom style="thin"/>
    </border>
    <border>
      <left style="thin"/>
      <right/>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medium"/>
    </border>
    <border>
      <left>
        <color indexed="63"/>
      </left>
      <right>
        <color indexed="63"/>
      </right>
      <top/>
      <bottom style="medium"/>
    </border>
    <border diagonalDown="1">
      <left style="medium"/>
      <right/>
      <top style="medium"/>
      <bottom style="medium"/>
      <diagonal style="thin"/>
    </border>
    <border diagonalDown="1">
      <left/>
      <right style="medium"/>
      <top style="medium"/>
      <bottom style="medium"/>
      <diagonal style="thin"/>
    </border>
    <border>
      <left style="medium"/>
      <right/>
      <top style="medium"/>
      <bottom style="thin"/>
    </border>
    <border>
      <left/>
      <right style="medium"/>
      <top style="medium"/>
      <bottom style="thin"/>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90">
    <xf numFmtId="0" fontId="0" fillId="0" borderId="0" xfId="0" applyAlignment="1">
      <alignment vertical="center"/>
    </xf>
    <xf numFmtId="0" fontId="4" fillId="0" borderId="0" xfId="0" applyFont="1" applyAlignment="1">
      <alignment vertical="center"/>
    </xf>
    <xf numFmtId="177" fontId="5" fillId="33" borderId="10" xfId="0" applyNumberFormat="1" applyFont="1" applyFill="1" applyBorder="1" applyAlignment="1" applyProtection="1">
      <alignment vertical="center"/>
      <protection locked="0"/>
    </xf>
    <xf numFmtId="0" fontId="3" fillId="33" borderId="11" xfId="0" applyFont="1" applyFill="1" applyBorder="1" applyAlignment="1">
      <alignment vertical="center"/>
    </xf>
    <xf numFmtId="0" fontId="8" fillId="0" borderId="0" xfId="0" applyFont="1" applyAlignment="1">
      <alignment horizontal="center" vertical="center"/>
    </xf>
    <xf numFmtId="177" fontId="5" fillId="34" borderId="10" xfId="0" applyNumberFormat="1" applyFont="1" applyFill="1" applyBorder="1" applyAlignment="1" applyProtection="1">
      <alignment vertical="center"/>
      <protection locked="0"/>
    </xf>
    <xf numFmtId="0" fontId="54" fillId="0" borderId="0" xfId="0" applyFont="1" applyAlignment="1">
      <alignment vertical="center"/>
    </xf>
    <xf numFmtId="0" fontId="0" fillId="0" borderId="12" xfId="0" applyFont="1" applyBorder="1" applyAlignment="1">
      <alignment vertical="center"/>
    </xf>
    <xf numFmtId="0" fontId="6" fillId="0" borderId="11" xfId="0" applyFont="1" applyFill="1" applyBorder="1" applyAlignment="1">
      <alignment vertical="center"/>
    </xf>
    <xf numFmtId="0" fontId="54" fillId="0" borderId="0" xfId="0" applyFont="1" applyFill="1" applyAlignment="1" applyProtection="1">
      <alignment vertical="center"/>
      <protection locked="0"/>
    </xf>
    <xf numFmtId="0" fontId="54"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34" borderId="10" xfId="0" applyFont="1" applyFill="1" applyBorder="1" applyAlignment="1">
      <alignment vertical="center"/>
    </xf>
    <xf numFmtId="0" fontId="0" fillId="0" borderId="0" xfId="0" applyFont="1" applyBorder="1" applyAlignment="1">
      <alignment vertical="center"/>
    </xf>
    <xf numFmtId="0" fontId="55" fillId="0" borderId="13" xfId="0" applyFont="1" applyBorder="1" applyAlignment="1" applyProtection="1">
      <alignment vertical="center" shrinkToFit="1"/>
      <protection/>
    </xf>
    <xf numFmtId="0" fontId="55" fillId="0" borderId="0" xfId="0" applyFont="1" applyBorder="1" applyAlignment="1" applyProtection="1">
      <alignment vertical="center" shrinkToFit="1"/>
      <protection/>
    </xf>
    <xf numFmtId="0" fontId="56" fillId="0" borderId="13" xfId="0" applyFont="1" applyBorder="1" applyAlignment="1" applyProtection="1">
      <alignment vertical="center" shrinkToFit="1"/>
      <protection/>
    </xf>
    <xf numFmtId="0" fontId="57" fillId="0" borderId="0" xfId="0" applyFont="1" applyBorder="1" applyAlignment="1" applyProtection="1">
      <alignment vertical="center" shrinkToFit="1"/>
      <protection/>
    </xf>
    <xf numFmtId="0" fontId="57" fillId="0" borderId="0" xfId="0" applyFont="1" applyAlignment="1" applyProtection="1">
      <alignment vertical="center" shrinkToFit="1"/>
      <protection/>
    </xf>
    <xf numFmtId="41" fontId="57" fillId="0" borderId="0" xfId="0" applyNumberFormat="1" applyFont="1" applyBorder="1" applyAlignment="1" applyProtection="1">
      <alignment vertical="center" shrinkToFit="1"/>
      <protection/>
    </xf>
    <xf numFmtId="0" fontId="54" fillId="0" borderId="0" xfId="0" applyFont="1" applyAlignment="1" applyProtection="1">
      <alignment vertical="center"/>
      <protection locked="0"/>
    </xf>
    <xf numFmtId="0" fontId="58" fillId="0" borderId="0" xfId="0" applyFont="1" applyBorder="1" applyAlignment="1" applyProtection="1">
      <alignment vertical="center" shrinkToFit="1"/>
      <protection/>
    </xf>
    <xf numFmtId="0" fontId="0" fillId="33" borderId="10" xfId="0" applyFont="1" applyFill="1" applyBorder="1" applyAlignment="1" applyProtection="1">
      <alignment vertical="center"/>
      <protection/>
    </xf>
    <xf numFmtId="0" fontId="0" fillId="0" borderId="11" xfId="0" applyFont="1" applyBorder="1" applyAlignment="1" applyProtection="1">
      <alignment vertical="center"/>
      <protection/>
    </xf>
    <xf numFmtId="0" fontId="6" fillId="0" borderId="11" xfId="0" applyFont="1" applyFill="1" applyBorder="1" applyAlignment="1" applyProtection="1">
      <alignment vertical="center"/>
      <protection/>
    </xf>
    <xf numFmtId="0" fontId="0" fillId="0" borderId="0" xfId="0" applyFont="1" applyAlignment="1" applyProtection="1">
      <alignment vertical="center"/>
      <protection/>
    </xf>
    <xf numFmtId="0" fontId="0" fillId="0" borderId="14" xfId="0" applyFont="1" applyBorder="1" applyAlignment="1" applyProtection="1">
      <alignment vertical="center"/>
      <protection/>
    </xf>
    <xf numFmtId="0" fontId="59" fillId="0" borderId="0" xfId="0" applyFont="1" applyAlignment="1">
      <alignment vertical="center"/>
    </xf>
    <xf numFmtId="0" fontId="59" fillId="0" borderId="0" xfId="0" applyFont="1" applyAlignment="1" applyProtection="1">
      <alignment vertical="center"/>
      <protection locked="0"/>
    </xf>
    <xf numFmtId="0" fontId="60" fillId="0" borderId="0" xfId="0" applyFont="1" applyAlignment="1" applyProtection="1">
      <alignment vertical="center" shrinkToFit="1"/>
      <protection/>
    </xf>
    <xf numFmtId="0" fontId="60" fillId="0" borderId="15" xfId="0" applyFont="1" applyBorder="1" applyAlignment="1" applyProtection="1">
      <alignment vertical="center" shrinkToFit="1"/>
      <protection/>
    </xf>
    <xf numFmtId="0" fontId="61" fillId="0" borderId="0" xfId="0" applyFont="1" applyAlignment="1" applyProtection="1">
      <alignment vertical="center" shrinkToFit="1"/>
      <protection/>
    </xf>
    <xf numFmtId="0" fontId="60" fillId="0" borderId="0" xfId="0" applyFont="1" applyAlignment="1" applyProtection="1">
      <alignment horizontal="right" shrinkToFit="1"/>
      <protection/>
    </xf>
    <xf numFmtId="179" fontId="60" fillId="0" borderId="15" xfId="0" applyNumberFormat="1" applyFont="1" applyBorder="1" applyAlignment="1" applyProtection="1">
      <alignment vertical="center" shrinkToFit="1"/>
      <protection locked="0"/>
    </xf>
    <xf numFmtId="0" fontId="60" fillId="0" borderId="12" xfId="0" applyFont="1" applyBorder="1" applyAlignment="1" applyProtection="1">
      <alignment horizontal="center" vertical="center" shrinkToFit="1"/>
      <protection/>
    </xf>
    <xf numFmtId="176" fontId="62" fillId="0" borderId="12" xfId="0" applyNumberFormat="1" applyFont="1" applyBorder="1" applyAlignment="1" applyProtection="1">
      <alignment horizontal="right" vertical="center" shrinkToFit="1"/>
      <protection/>
    </xf>
    <xf numFmtId="176" fontId="60" fillId="0" borderId="15" xfId="0" applyNumberFormat="1" applyFont="1" applyBorder="1" applyAlignment="1" applyProtection="1">
      <alignment vertical="center" shrinkToFit="1"/>
      <protection locked="0"/>
    </xf>
    <xf numFmtId="0" fontId="61" fillId="33" borderId="12" xfId="0" applyFont="1" applyFill="1" applyBorder="1" applyAlignment="1" applyProtection="1">
      <alignment horizontal="center" vertical="center" shrinkToFit="1"/>
      <protection/>
    </xf>
    <xf numFmtId="176" fontId="63" fillId="33" borderId="12" xfId="0" applyNumberFormat="1" applyFont="1" applyFill="1" applyBorder="1" applyAlignment="1" applyProtection="1">
      <alignment horizontal="right" vertical="center" shrinkToFit="1"/>
      <protection/>
    </xf>
    <xf numFmtId="176" fontId="60" fillId="0" borderId="15" xfId="0" applyNumberFormat="1" applyFont="1" applyBorder="1" applyAlignment="1" applyProtection="1">
      <alignment vertical="center" shrinkToFit="1"/>
      <protection/>
    </xf>
    <xf numFmtId="0" fontId="64" fillId="0" borderId="0" xfId="0" applyFont="1" applyAlignment="1" applyProtection="1">
      <alignment horizontal="left" vertical="center" shrinkToFit="1"/>
      <protection/>
    </xf>
    <xf numFmtId="0" fontId="60" fillId="0" borderId="0" xfId="0" applyFont="1" applyAlignment="1" applyProtection="1">
      <alignment horizontal="left" vertical="center" shrinkToFit="1"/>
      <protection/>
    </xf>
    <xf numFmtId="0" fontId="60" fillId="0" borderId="0" xfId="0" applyFont="1" applyAlignment="1" applyProtection="1">
      <alignment horizontal="right" vertical="center" shrinkToFit="1"/>
      <protection/>
    </xf>
    <xf numFmtId="0" fontId="60" fillId="0" borderId="16" xfId="0" applyFont="1" applyBorder="1" applyAlignment="1" applyProtection="1">
      <alignment vertical="center" shrinkToFit="1"/>
      <protection/>
    </xf>
    <xf numFmtId="0" fontId="60" fillId="0" borderId="17" xfId="0" applyFont="1" applyBorder="1" applyAlignment="1" applyProtection="1">
      <alignment horizontal="center" vertical="center" shrinkToFit="1"/>
      <protection/>
    </xf>
    <xf numFmtId="0" fontId="60" fillId="0" borderId="18" xfId="0" applyFont="1" applyBorder="1" applyAlignment="1" applyProtection="1">
      <alignment vertical="center" shrinkToFit="1"/>
      <protection/>
    </xf>
    <xf numFmtId="0" fontId="60" fillId="0" borderId="19" xfId="0" applyFont="1" applyBorder="1" applyAlignment="1" applyProtection="1">
      <alignment vertical="center" shrinkToFit="1"/>
      <protection/>
    </xf>
    <xf numFmtId="0" fontId="62" fillId="0" borderId="13" xfId="0" applyFont="1" applyBorder="1" applyAlignment="1" applyProtection="1">
      <alignment vertical="center" wrapText="1" shrinkToFit="1"/>
      <protection/>
    </xf>
    <xf numFmtId="0" fontId="62" fillId="0" borderId="0" xfId="0" applyFont="1" applyBorder="1" applyAlignment="1" applyProtection="1">
      <alignment vertical="center" shrinkToFit="1"/>
      <protection/>
    </xf>
    <xf numFmtId="0" fontId="60" fillId="0" borderId="20" xfId="0" applyFont="1" applyBorder="1" applyAlignment="1" applyProtection="1">
      <alignment horizontal="center" vertical="center" shrinkToFit="1"/>
      <protection/>
    </xf>
    <xf numFmtId="41" fontId="60" fillId="0" borderId="21" xfId="0" applyNumberFormat="1" applyFont="1" applyBorder="1" applyAlignment="1" applyProtection="1">
      <alignment vertical="center" shrinkToFit="1"/>
      <protection/>
    </xf>
    <xf numFmtId="41" fontId="60" fillId="0" borderId="22" xfId="0" applyNumberFormat="1" applyFont="1" applyBorder="1" applyAlignment="1" applyProtection="1">
      <alignment vertical="center" shrinkToFit="1"/>
      <protection/>
    </xf>
    <xf numFmtId="41" fontId="60" fillId="0" borderId="23" xfId="0" applyNumberFormat="1" applyFont="1" applyBorder="1" applyAlignment="1" applyProtection="1">
      <alignment vertical="center" shrinkToFit="1"/>
      <protection/>
    </xf>
    <xf numFmtId="0" fontId="62" fillId="0" borderId="13" xfId="0" applyFont="1" applyBorder="1" applyAlignment="1" applyProtection="1">
      <alignment vertical="center" shrinkToFit="1"/>
      <protection/>
    </xf>
    <xf numFmtId="0" fontId="60" fillId="0" borderId="24" xfId="0" applyFont="1" applyBorder="1" applyAlignment="1" applyProtection="1">
      <alignment horizontal="center" vertical="center" shrinkToFit="1"/>
      <protection/>
    </xf>
    <xf numFmtId="41" fontId="60" fillId="0" borderId="25" xfId="0" applyNumberFormat="1" applyFont="1" applyBorder="1" applyAlignment="1" applyProtection="1">
      <alignment vertical="center" shrinkToFit="1"/>
      <protection/>
    </xf>
    <xf numFmtId="41" fontId="60" fillId="0" borderId="15" xfId="0" applyNumberFormat="1" applyFont="1" applyBorder="1" applyAlignment="1" applyProtection="1">
      <alignment vertical="center" shrinkToFit="1"/>
      <protection/>
    </xf>
    <xf numFmtId="41" fontId="60" fillId="0" borderId="26" xfId="0" applyNumberFormat="1" applyFont="1" applyBorder="1" applyAlignment="1" applyProtection="1">
      <alignment vertical="center" shrinkToFit="1"/>
      <protection/>
    </xf>
    <xf numFmtId="0" fontId="60" fillId="0" borderId="27" xfId="0" applyFont="1" applyBorder="1" applyAlignment="1" applyProtection="1">
      <alignment horizontal="center" vertical="center" shrinkToFit="1"/>
      <protection/>
    </xf>
    <xf numFmtId="41" fontId="60" fillId="0" borderId="28" xfId="0" applyNumberFormat="1" applyFont="1" applyBorder="1" applyAlignment="1" applyProtection="1">
      <alignment vertical="center" shrinkToFit="1"/>
      <protection/>
    </xf>
    <xf numFmtId="41" fontId="60" fillId="0" borderId="29" xfId="0" applyNumberFormat="1" applyFont="1" applyBorder="1" applyAlignment="1" applyProtection="1">
      <alignment vertical="center" shrinkToFit="1"/>
      <protection/>
    </xf>
    <xf numFmtId="0" fontId="60" fillId="0" borderId="30" xfId="0" applyFont="1" applyBorder="1" applyAlignment="1" applyProtection="1">
      <alignment vertical="center" shrinkToFit="1"/>
      <protection/>
    </xf>
    <xf numFmtId="41" fontId="60" fillId="0" borderId="31" xfId="0" applyNumberFormat="1" applyFont="1" applyBorder="1" applyAlignment="1" applyProtection="1">
      <alignment vertical="center" shrinkToFit="1"/>
      <protection/>
    </xf>
    <xf numFmtId="41" fontId="60" fillId="0" borderId="32" xfId="0" applyNumberFormat="1" applyFont="1" applyBorder="1" applyAlignment="1" applyProtection="1">
      <alignment vertical="center" shrinkToFit="1"/>
      <protection/>
    </xf>
    <xf numFmtId="41" fontId="60" fillId="0" borderId="33" xfId="0" applyNumberFormat="1" applyFont="1" applyBorder="1" applyAlignment="1" applyProtection="1">
      <alignment vertical="center" shrinkToFit="1"/>
      <protection/>
    </xf>
    <xf numFmtId="41" fontId="60" fillId="0" borderId="0" xfId="0" applyNumberFormat="1" applyFont="1" applyAlignment="1" applyProtection="1">
      <alignment vertical="center" shrinkToFit="1"/>
      <protection/>
    </xf>
    <xf numFmtId="41" fontId="60" fillId="0" borderId="34" xfId="0" applyNumberFormat="1" applyFont="1" applyBorder="1" applyAlignment="1" applyProtection="1">
      <alignment vertical="center" shrinkToFit="1"/>
      <protection/>
    </xf>
    <xf numFmtId="0" fontId="65" fillId="0" borderId="0" xfId="0" applyFont="1" applyAlignment="1" applyProtection="1">
      <alignment vertical="center" shrinkToFit="1"/>
      <protection/>
    </xf>
    <xf numFmtId="0" fontId="0" fillId="0" borderId="0" xfId="0" applyFont="1" applyFill="1" applyAlignment="1">
      <alignment vertical="center"/>
    </xf>
    <xf numFmtId="0" fontId="6" fillId="0" borderId="35" xfId="0" applyFont="1" applyFill="1" applyBorder="1" applyAlignment="1">
      <alignment horizontal="center" vertical="top"/>
    </xf>
    <xf numFmtId="0" fontId="9" fillId="0" borderId="0" xfId="0" applyFont="1" applyAlignment="1">
      <alignment horizontal="center" vertical="center"/>
    </xf>
    <xf numFmtId="0" fontId="0" fillId="0" borderId="12" xfId="0" applyFont="1" applyBorder="1" applyAlignment="1">
      <alignment horizontal="center" vertical="center"/>
    </xf>
    <xf numFmtId="0" fontId="6" fillId="0" borderId="36" xfId="0" applyFont="1" applyFill="1" applyBorder="1" applyAlignment="1">
      <alignment horizontal="center" vertical="top"/>
    </xf>
    <xf numFmtId="0" fontId="6" fillId="0" borderId="37" xfId="0" applyFont="1" applyFill="1" applyBorder="1" applyAlignment="1">
      <alignment horizontal="center" vertical="top"/>
    </xf>
    <xf numFmtId="0" fontId="0" fillId="0" borderId="0" xfId="0" applyFont="1" applyAlignment="1">
      <alignment horizontal="left" vertical="center"/>
    </xf>
    <xf numFmtId="0" fontId="60" fillId="0" borderId="38" xfId="0" applyFont="1" applyBorder="1" applyAlignment="1" applyProtection="1">
      <alignment horizontal="center" vertical="center" shrinkToFit="1"/>
      <protection/>
    </xf>
    <xf numFmtId="0" fontId="60" fillId="0" borderId="39" xfId="0" applyFont="1" applyBorder="1" applyAlignment="1" applyProtection="1">
      <alignment horizontal="center" vertical="center" shrinkToFit="1"/>
      <protection/>
    </xf>
    <xf numFmtId="0" fontId="60" fillId="0" borderId="0" xfId="0" applyFont="1" applyAlignment="1">
      <alignment horizontal="left" vertical="center" shrinkToFit="1"/>
    </xf>
    <xf numFmtId="0" fontId="64" fillId="0" borderId="0" xfId="0" applyFont="1" applyAlignment="1" applyProtection="1">
      <alignment vertical="center" wrapText="1" shrinkToFit="1"/>
      <protection/>
    </xf>
    <xf numFmtId="0" fontId="66" fillId="0" borderId="0" xfId="0" applyFont="1" applyAlignment="1" applyProtection="1">
      <alignment horizontal="center" vertical="center" shrinkToFit="1"/>
      <protection/>
    </xf>
    <xf numFmtId="41" fontId="60" fillId="0" borderId="27" xfId="0" applyNumberFormat="1" applyFont="1" applyBorder="1" applyAlignment="1" applyProtection="1">
      <alignment horizontal="right" vertical="center" shrinkToFit="1"/>
      <protection/>
    </xf>
    <xf numFmtId="41" fontId="60" fillId="0" borderId="40" xfId="0" applyNumberFormat="1" applyFont="1" applyBorder="1" applyAlignment="1" applyProtection="1">
      <alignment horizontal="right" vertical="center" shrinkToFit="1"/>
      <protection/>
    </xf>
    <xf numFmtId="0" fontId="60" fillId="0" borderId="0" xfId="0" applyFont="1" applyAlignment="1" applyProtection="1">
      <alignment horizontal="left" vertical="center" shrinkToFit="1"/>
      <protection/>
    </xf>
    <xf numFmtId="0" fontId="60" fillId="0" borderId="13" xfId="0" applyNumberFormat="1" applyFont="1" applyBorder="1" applyAlignment="1" applyProtection="1">
      <alignment vertical="center" shrinkToFit="1"/>
      <protection/>
    </xf>
    <xf numFmtId="0" fontId="60" fillId="0" borderId="0" xfId="0" applyNumberFormat="1" applyFont="1" applyBorder="1" applyAlignment="1" applyProtection="1">
      <alignment vertical="center" shrinkToFit="1"/>
      <protection/>
    </xf>
    <xf numFmtId="0" fontId="64" fillId="0" borderId="0" xfId="0" applyFont="1" applyAlignment="1" applyProtection="1">
      <alignment vertical="center" wrapText="1"/>
      <protection/>
    </xf>
    <xf numFmtId="0" fontId="55" fillId="0" borderId="13" xfId="0" applyFont="1" applyBorder="1" applyAlignment="1" applyProtection="1">
      <alignment shrinkToFit="1"/>
      <protection/>
    </xf>
    <xf numFmtId="0" fontId="55" fillId="0" borderId="0" xfId="0" applyFont="1" applyBorder="1" applyAlignment="1" applyProtection="1">
      <alignment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1"/>
  <sheetViews>
    <sheetView showGridLines="0" tabSelected="1" zoomScalePageLayoutView="0" workbookViewId="0" topLeftCell="A1">
      <selection activeCell="G19" sqref="G19"/>
    </sheetView>
  </sheetViews>
  <sheetFormatPr defaultColWidth="9.00390625" defaultRowHeight="13.5"/>
  <cols>
    <col min="1" max="1" width="12.125" style="11" customWidth="1"/>
    <col min="2" max="2" width="20.125" style="11" customWidth="1"/>
    <col min="3" max="3" width="12.625" style="11" customWidth="1"/>
    <col min="4" max="4" width="4.875" style="11" bestFit="1" customWidth="1"/>
    <col min="5" max="5" width="3.625" style="11" customWidth="1"/>
    <col min="6" max="6" width="16.125" style="11" customWidth="1"/>
    <col min="7" max="7" width="6.625" style="11" customWidth="1"/>
    <col min="8" max="8" width="12.125" style="11" customWidth="1"/>
    <col min="9" max="9" width="3.625" style="11" customWidth="1"/>
    <col min="10" max="10" width="16.625" style="11" customWidth="1"/>
    <col min="11" max="11" width="12.625" style="11" customWidth="1"/>
    <col min="12" max="12" width="4.875" style="11" customWidth="1"/>
    <col min="13" max="13" width="7.50390625" style="11" customWidth="1"/>
    <col min="14" max="14" width="16.125" style="11" customWidth="1"/>
    <col min="15" max="15" width="6.625" style="11" customWidth="1"/>
    <col min="16" max="16" width="4.00390625" style="11" customWidth="1"/>
    <col min="17" max="16384" width="9.00390625" style="11" customWidth="1"/>
  </cols>
  <sheetData>
    <row r="1" spans="1:14" ht="17.25">
      <c r="A1" s="72" t="s">
        <v>24</v>
      </c>
      <c r="B1" s="72"/>
      <c r="C1" s="72"/>
      <c r="D1" s="72"/>
      <c r="E1" s="72"/>
      <c r="F1" s="72"/>
      <c r="H1" s="72"/>
      <c r="I1" s="72"/>
      <c r="J1" s="72"/>
      <c r="K1" s="72"/>
      <c r="L1" s="72"/>
      <c r="M1" s="72"/>
      <c r="N1" s="72"/>
    </row>
    <row r="2" spans="1:14" ht="17.25">
      <c r="A2" s="4"/>
      <c r="B2" s="4"/>
      <c r="C2" s="4"/>
      <c r="D2" s="4"/>
      <c r="E2" s="4"/>
      <c r="F2" s="4"/>
      <c r="H2" s="4"/>
      <c r="I2" s="4"/>
      <c r="J2" s="4"/>
      <c r="K2" s="4"/>
      <c r="L2" s="4"/>
      <c r="M2" s="4"/>
      <c r="N2" s="4"/>
    </row>
    <row r="3" spans="1:12" ht="13.5">
      <c r="A3" s="12" t="s">
        <v>29</v>
      </c>
      <c r="B3" s="12"/>
      <c r="C3" s="12"/>
      <c r="D3" s="12"/>
      <c r="E3" s="12"/>
      <c r="F3" s="12"/>
      <c r="G3" s="12"/>
      <c r="H3" s="12"/>
      <c r="I3" s="12"/>
      <c r="J3" s="12"/>
      <c r="K3" s="12"/>
      <c r="L3" s="12"/>
    </row>
    <row r="4" spans="1:12" ht="13.5">
      <c r="A4" s="12" t="s">
        <v>35</v>
      </c>
      <c r="B4" s="12"/>
      <c r="C4" s="12"/>
      <c r="D4" s="12"/>
      <c r="E4" s="12"/>
      <c r="F4" s="12"/>
      <c r="G4" s="12"/>
      <c r="H4" s="12"/>
      <c r="I4" s="12"/>
      <c r="J4" s="12"/>
      <c r="K4" s="12"/>
      <c r="L4" s="13"/>
    </row>
    <row r="5" spans="1:12" ht="13.5">
      <c r="A5" s="12" t="s">
        <v>26</v>
      </c>
      <c r="B5" s="12"/>
      <c r="C5" s="12"/>
      <c r="D5" s="12"/>
      <c r="E5" s="12"/>
      <c r="F5" s="12"/>
      <c r="G5" s="12"/>
      <c r="H5" s="12"/>
      <c r="I5" s="12"/>
      <c r="J5" s="12"/>
      <c r="K5" s="12"/>
      <c r="L5" s="13"/>
    </row>
    <row r="6" spans="1:15" ht="13.5">
      <c r="A6" s="76" t="s">
        <v>46</v>
      </c>
      <c r="B6" s="76"/>
      <c r="C6" s="76"/>
      <c r="D6" s="76"/>
      <c r="E6" s="76"/>
      <c r="F6" s="76"/>
      <c r="G6" s="76"/>
      <c r="H6" s="76"/>
      <c r="I6" s="76"/>
      <c r="J6" s="76"/>
      <c r="K6" s="76"/>
      <c r="L6" s="76"/>
      <c r="M6" s="13"/>
      <c r="N6" s="13"/>
      <c r="O6" s="13"/>
    </row>
    <row r="8" spans="1:6" ht="13.5">
      <c r="A8" s="11" t="s">
        <v>33</v>
      </c>
      <c r="F8" s="22" t="b">
        <v>1</v>
      </c>
    </row>
    <row r="9" spans="10:13" ht="13.5">
      <c r="J9" s="6"/>
      <c r="K9" s="6"/>
      <c r="L9" s="6">
        <f>IF(M12,K11-150000,K11)</f>
        <v>0</v>
      </c>
      <c r="M9" s="6">
        <f>IF(L9&lt;0,0,L9)</f>
        <v>0</v>
      </c>
    </row>
    <row r="10" spans="5:13" ht="16.5" customHeight="1" thickBot="1">
      <c r="E10" s="71" t="s">
        <v>19</v>
      </c>
      <c r="F10" s="71"/>
      <c r="G10" s="6">
        <f>IF(G12,IF(C11&gt;1099999,1,0),IF(C11&gt;549999,1,0))</f>
        <v>0</v>
      </c>
      <c r="H10" s="6">
        <f>IF(C12&gt;0,1,0)</f>
        <v>0</v>
      </c>
      <c r="J10" s="6"/>
      <c r="K10" s="6"/>
      <c r="L10" s="6">
        <f>IF(G12,C11-150000,C11)</f>
        <v>0</v>
      </c>
      <c r="M10" s="6">
        <f>IF(L10&lt;0,0,L10)</f>
        <v>0</v>
      </c>
    </row>
    <row r="11" spans="1:13" ht="16.5" customHeight="1" thickBot="1">
      <c r="A11" s="11" t="s">
        <v>31</v>
      </c>
      <c r="B11" s="7" t="s">
        <v>17</v>
      </c>
      <c r="C11" s="2">
        <v>0</v>
      </c>
      <c r="D11" s="3" t="s">
        <v>3</v>
      </c>
      <c r="E11" s="24"/>
      <c r="F11" s="25" t="s">
        <v>4</v>
      </c>
      <c r="G11" s="9" t="b">
        <v>0</v>
      </c>
      <c r="H11" s="11" t="s">
        <v>32</v>
      </c>
      <c r="I11" s="73" t="s">
        <v>17</v>
      </c>
      <c r="J11" s="73"/>
      <c r="K11" s="2">
        <v>0</v>
      </c>
      <c r="L11" s="3" t="s">
        <v>3</v>
      </c>
      <c r="M11" s="6">
        <f>IF(M12,IF(K11&gt;1099999,1,0),IF(K11&gt;549999,1,0))</f>
        <v>0</v>
      </c>
    </row>
    <row r="12" spans="1:13" ht="16.5" customHeight="1" thickBot="1">
      <c r="A12" s="6">
        <f>IF(F8,0,1)</f>
        <v>0</v>
      </c>
      <c r="B12" s="7" t="s">
        <v>18</v>
      </c>
      <c r="C12" s="2">
        <v>0</v>
      </c>
      <c r="D12" s="3" t="s">
        <v>16</v>
      </c>
      <c r="E12" s="24"/>
      <c r="F12" s="26" t="s">
        <v>28</v>
      </c>
      <c r="G12" s="9" t="b">
        <v>0</v>
      </c>
      <c r="H12" s="6">
        <f>IF(F8,1,0)</f>
        <v>1</v>
      </c>
      <c r="I12" s="14"/>
      <c r="J12" s="8" t="s">
        <v>28</v>
      </c>
      <c r="K12" s="74"/>
      <c r="L12" s="75"/>
      <c r="M12" s="22" t="b">
        <v>0</v>
      </c>
    </row>
    <row r="13" spans="3:13" ht="16.5" customHeight="1" thickBot="1">
      <c r="C13" s="1"/>
      <c r="E13" s="27"/>
      <c r="F13" s="27"/>
      <c r="G13" s="70"/>
      <c r="K13" s="1"/>
      <c r="M13" s="70"/>
    </row>
    <row r="14" spans="1:13" ht="16.5" customHeight="1" thickBot="1">
      <c r="A14" s="11" t="s">
        <v>9</v>
      </c>
      <c r="B14" s="7" t="s">
        <v>17</v>
      </c>
      <c r="C14" s="5">
        <v>0</v>
      </c>
      <c r="D14" s="3" t="s">
        <v>30</v>
      </c>
      <c r="E14" s="24"/>
      <c r="F14" s="25" t="s">
        <v>4</v>
      </c>
      <c r="G14" s="9" t="b">
        <v>0</v>
      </c>
      <c r="H14" s="6"/>
      <c r="I14" s="6"/>
      <c r="J14" s="6"/>
      <c r="K14" s="6"/>
      <c r="L14" s="6"/>
      <c r="M14" s="6"/>
    </row>
    <row r="15" spans="2:13" ht="16.5" customHeight="1" thickBot="1">
      <c r="B15" s="7" t="s">
        <v>18</v>
      </c>
      <c r="C15" s="2">
        <v>0</v>
      </c>
      <c r="D15" s="3" t="s">
        <v>16</v>
      </c>
      <c r="E15" s="24"/>
      <c r="F15" s="26" t="s">
        <v>28</v>
      </c>
      <c r="G15" s="9" t="b">
        <v>0</v>
      </c>
      <c r="H15" s="6">
        <f>IF(G15,IF(C14&gt;1100000,1,0),IF(C14&gt;550000,1,0))</f>
        <v>0</v>
      </c>
      <c r="I15" s="6"/>
      <c r="J15" s="6">
        <f>IF(C15&gt;0,1,0)</f>
        <v>0</v>
      </c>
      <c r="K15" s="6">
        <f>C15/12</f>
        <v>0</v>
      </c>
      <c r="L15" s="6">
        <f>IF(G15,C14-150000,C14)</f>
        <v>0</v>
      </c>
      <c r="M15" s="6">
        <f>IF(L15&lt;0,0,L15)</f>
        <v>0</v>
      </c>
    </row>
    <row r="16" spans="3:13" ht="16.5" customHeight="1" thickBot="1">
      <c r="C16" s="1"/>
      <c r="E16" s="27"/>
      <c r="F16" s="27"/>
      <c r="G16" s="10"/>
      <c r="H16" s="6"/>
      <c r="I16" s="6"/>
      <c r="J16" s="6"/>
      <c r="K16" s="6"/>
      <c r="L16" s="6"/>
      <c r="M16" s="6"/>
    </row>
    <row r="17" spans="1:13" ht="16.5" customHeight="1" thickBot="1">
      <c r="A17" s="11" t="s">
        <v>11</v>
      </c>
      <c r="B17" s="7" t="s">
        <v>17</v>
      </c>
      <c r="C17" s="2">
        <v>0</v>
      </c>
      <c r="D17" s="3" t="s">
        <v>3</v>
      </c>
      <c r="E17" s="24"/>
      <c r="F17" s="25" t="s">
        <v>4</v>
      </c>
      <c r="G17" s="9" t="b">
        <v>0</v>
      </c>
      <c r="H17" s="6"/>
      <c r="I17" s="6"/>
      <c r="J17" s="6"/>
      <c r="K17" s="6"/>
      <c r="L17" s="6"/>
      <c r="M17" s="6"/>
    </row>
    <row r="18" spans="2:13" ht="16.5" customHeight="1" thickBot="1">
      <c r="B18" s="7" t="s">
        <v>18</v>
      </c>
      <c r="C18" s="2">
        <v>0</v>
      </c>
      <c r="D18" s="3" t="s">
        <v>34</v>
      </c>
      <c r="E18" s="24"/>
      <c r="F18" s="26" t="s">
        <v>28</v>
      </c>
      <c r="G18" s="9" t="b">
        <v>0</v>
      </c>
      <c r="H18" s="6">
        <f>IF(G18,IF(C17&gt;1100000,1,0),IF(C17&gt;550000,1,0))</f>
        <v>0</v>
      </c>
      <c r="I18" s="6"/>
      <c r="J18" s="6">
        <f>IF(C18&gt;0,1,0)</f>
        <v>0</v>
      </c>
      <c r="K18" s="6">
        <f>C18/12</f>
        <v>0</v>
      </c>
      <c r="L18" s="6">
        <f>IF(G18,C17-150000,C17)</f>
        <v>0</v>
      </c>
      <c r="M18" s="6">
        <f>IF(L18&lt;0,0,L18)</f>
        <v>0</v>
      </c>
    </row>
    <row r="19" spans="3:13" ht="16.5" customHeight="1" thickBot="1">
      <c r="C19" s="1"/>
      <c r="E19" s="28"/>
      <c r="F19" s="28"/>
      <c r="G19" s="9"/>
      <c r="H19" s="6"/>
      <c r="I19" s="6"/>
      <c r="J19" s="6"/>
      <c r="K19" s="6"/>
      <c r="L19" s="6"/>
      <c r="M19" s="6"/>
    </row>
    <row r="20" spans="1:13" ht="16.5" customHeight="1" thickBot="1">
      <c r="A20" s="11" t="s">
        <v>12</v>
      </c>
      <c r="B20" s="7" t="s">
        <v>17</v>
      </c>
      <c r="C20" s="2">
        <v>0</v>
      </c>
      <c r="D20" s="3" t="s">
        <v>3</v>
      </c>
      <c r="E20" s="24"/>
      <c r="F20" s="25" t="s">
        <v>4</v>
      </c>
      <c r="G20" s="9" t="b">
        <v>0</v>
      </c>
      <c r="H20" s="6"/>
      <c r="I20" s="6"/>
      <c r="J20" s="6"/>
      <c r="K20" s="6"/>
      <c r="L20" s="6"/>
      <c r="M20" s="6"/>
    </row>
    <row r="21" spans="2:13" ht="16.5" customHeight="1" thickBot="1">
      <c r="B21" s="7" t="s">
        <v>18</v>
      </c>
      <c r="C21" s="2">
        <v>0</v>
      </c>
      <c r="D21" s="3" t="s">
        <v>16</v>
      </c>
      <c r="E21" s="24"/>
      <c r="F21" s="26" t="s">
        <v>28</v>
      </c>
      <c r="G21" s="9" t="b">
        <v>0</v>
      </c>
      <c r="H21" s="6">
        <f>IF(G21,IF(C20&gt;1100000,1,0),IF(C20&gt;550000,1,0))</f>
        <v>0</v>
      </c>
      <c r="I21" s="6"/>
      <c r="J21" s="6">
        <f>IF(C21&gt;0,1,0)</f>
        <v>0</v>
      </c>
      <c r="K21" s="6">
        <f>C21/12</f>
        <v>0</v>
      </c>
      <c r="L21" s="6">
        <f>IF(G21,C20-150000,C20)</f>
        <v>0</v>
      </c>
      <c r="M21" s="6">
        <f>IF(L21&lt;0,0,L21)</f>
        <v>0</v>
      </c>
    </row>
    <row r="22" spans="3:13" ht="16.5" customHeight="1" thickBot="1">
      <c r="C22" s="1"/>
      <c r="E22" s="27"/>
      <c r="F22" s="27"/>
      <c r="G22" s="10"/>
      <c r="H22" s="6"/>
      <c r="I22" s="6"/>
      <c r="J22" s="6"/>
      <c r="K22" s="6"/>
      <c r="L22" s="6"/>
      <c r="M22" s="6"/>
    </row>
    <row r="23" spans="1:13" ht="16.5" customHeight="1" thickBot="1">
      <c r="A23" s="11" t="s">
        <v>13</v>
      </c>
      <c r="B23" s="7" t="s">
        <v>17</v>
      </c>
      <c r="C23" s="2">
        <v>0</v>
      </c>
      <c r="D23" s="3" t="s">
        <v>3</v>
      </c>
      <c r="E23" s="24"/>
      <c r="F23" s="25" t="s">
        <v>4</v>
      </c>
      <c r="G23" s="9" t="b">
        <v>0</v>
      </c>
      <c r="H23" s="6"/>
      <c r="I23" s="6"/>
      <c r="J23" s="6"/>
      <c r="K23" s="6"/>
      <c r="L23" s="6"/>
      <c r="M23" s="6"/>
    </row>
    <row r="24" spans="2:13" ht="16.5" customHeight="1" thickBot="1">
      <c r="B24" s="7" t="s">
        <v>18</v>
      </c>
      <c r="C24" s="2">
        <v>0</v>
      </c>
      <c r="D24" s="3" t="s">
        <v>16</v>
      </c>
      <c r="E24" s="24"/>
      <c r="F24" s="26" t="s">
        <v>28</v>
      </c>
      <c r="G24" s="9" t="b">
        <v>0</v>
      </c>
      <c r="H24" s="6">
        <f>IF(G24,IF(C23&gt;1100000,1,0),IF(C23&gt;550000,1,0))</f>
        <v>0</v>
      </c>
      <c r="I24" s="6"/>
      <c r="J24" s="6">
        <f>IF(C24&gt;0,1,0)</f>
        <v>0</v>
      </c>
      <c r="K24" s="6">
        <f>C24/12</f>
        <v>0</v>
      </c>
      <c r="L24" s="6">
        <f>IF(G24,C23-150000,C23)</f>
        <v>0</v>
      </c>
      <c r="M24" s="6">
        <f>IF(L24&lt;0,0,L24)</f>
        <v>0</v>
      </c>
    </row>
    <row r="25" spans="3:13" ht="16.5" customHeight="1" thickBot="1">
      <c r="C25" s="1"/>
      <c r="E25" s="27"/>
      <c r="F25" s="27"/>
      <c r="G25" s="10"/>
      <c r="H25" s="6"/>
      <c r="I25" s="6"/>
      <c r="J25" s="6"/>
      <c r="K25" s="6"/>
      <c r="L25" s="6"/>
      <c r="M25" s="6"/>
    </row>
    <row r="26" spans="1:13" ht="16.5" customHeight="1" thickBot="1">
      <c r="A26" s="11" t="s">
        <v>14</v>
      </c>
      <c r="B26" s="7" t="s">
        <v>17</v>
      </c>
      <c r="C26" s="2">
        <v>0</v>
      </c>
      <c r="D26" s="3" t="s">
        <v>3</v>
      </c>
      <c r="E26" s="24"/>
      <c r="F26" s="25" t="s">
        <v>4</v>
      </c>
      <c r="G26" s="9" t="b">
        <v>0</v>
      </c>
      <c r="H26" s="22"/>
      <c r="I26" s="6"/>
      <c r="J26" s="6"/>
      <c r="K26" s="6"/>
      <c r="L26" s="6"/>
      <c r="M26" s="6"/>
    </row>
    <row r="27" spans="2:13" ht="16.5" customHeight="1" thickBot="1">
      <c r="B27" s="7" t="s">
        <v>18</v>
      </c>
      <c r="C27" s="2">
        <v>0</v>
      </c>
      <c r="D27" s="3" t="s">
        <v>16</v>
      </c>
      <c r="E27" s="24"/>
      <c r="F27" s="26" t="s">
        <v>28</v>
      </c>
      <c r="G27" s="9" t="b">
        <v>0</v>
      </c>
      <c r="H27" s="6">
        <f>IF(G27,IF(C26&gt;1100000,1,0),IF(C26&gt;550000,1,0))</f>
        <v>0</v>
      </c>
      <c r="I27" s="6"/>
      <c r="J27" s="6">
        <f>IF(C27&gt;0,1,0)</f>
        <v>0</v>
      </c>
      <c r="K27" s="6">
        <f>C27/12</f>
        <v>0</v>
      </c>
      <c r="L27" s="6">
        <f>IF(G27,C26-150000,C26)</f>
        <v>0</v>
      </c>
      <c r="M27" s="6">
        <f>IF(L27&lt;0,0,L27)</f>
        <v>0</v>
      </c>
    </row>
    <row r="28" spans="7:13" ht="16.5" customHeight="1">
      <c r="G28" s="6"/>
      <c r="H28" s="6">
        <f>G10+M11+H15+H18+H21+H24+H27</f>
        <v>0</v>
      </c>
      <c r="I28" s="6"/>
      <c r="J28" s="6">
        <f>J27+J24+J21+J18+J15+H10</f>
        <v>0</v>
      </c>
      <c r="K28" s="20">
        <f>MAX(K15:K27)</f>
        <v>0</v>
      </c>
      <c r="L28" s="6"/>
      <c r="M28" s="6">
        <f>M9+M10+M15+M18+M21+M24+M27</f>
        <v>0</v>
      </c>
    </row>
    <row r="29" spans="7:13" ht="16.5" customHeight="1">
      <c r="G29" s="6"/>
      <c r="H29" s="6">
        <f>IF(H28=0,1,H28)</f>
        <v>1</v>
      </c>
      <c r="I29" s="6"/>
      <c r="J29" s="6"/>
      <c r="K29" s="6"/>
      <c r="L29" s="6"/>
      <c r="M29" s="6"/>
    </row>
    <row r="30" ht="16.5" customHeight="1"/>
    <row r="31" spans="5:13" ht="16.5" customHeight="1">
      <c r="E31" s="15"/>
      <c r="F31" s="15"/>
      <c r="G31" s="30"/>
      <c r="H31" s="29"/>
      <c r="I31" s="29"/>
      <c r="J31" s="29"/>
      <c r="K31" s="29"/>
      <c r="L31" s="29"/>
      <c r="M31" s="29"/>
    </row>
    <row r="32" ht="16.5" customHeight="1"/>
    <row r="33" ht="16.5" customHeight="1"/>
  </sheetData>
  <sheetProtection password="C416" sheet="1" selectLockedCells="1" autoFilter="0"/>
  <mergeCells count="6">
    <mergeCell ref="E10:F10"/>
    <mergeCell ref="H1:N1"/>
    <mergeCell ref="I11:J11"/>
    <mergeCell ref="K12:L12"/>
    <mergeCell ref="A1:F1"/>
    <mergeCell ref="A6:L6"/>
  </mergeCells>
  <conditionalFormatting sqref="A11:F12">
    <cfRule type="expression" priority="3" dxfId="0" stopIfTrue="1">
      <formula>$A$12</formula>
    </cfRule>
  </conditionalFormatting>
  <conditionalFormatting sqref="H11:L12">
    <cfRule type="expression" priority="2" dxfId="0" stopIfTrue="1">
      <formula>$H$12</formula>
    </cfRule>
  </conditionalFormatting>
  <printOptions/>
  <pageMargins left="0.61" right="0.2" top="0.984251968503937" bottom="0.984251968503937" header="0.5118110236220472" footer="0.5118110236220472"/>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Q61"/>
  <sheetViews>
    <sheetView showGridLines="0" zoomScale="106" zoomScaleNormal="106" zoomScalePageLayoutView="0" workbookViewId="0" topLeftCell="A1">
      <selection activeCell="O2" sqref="O2"/>
    </sheetView>
  </sheetViews>
  <sheetFormatPr defaultColWidth="12.625" defaultRowHeight="13.5"/>
  <cols>
    <col min="1" max="6" width="12.625" style="31" customWidth="1"/>
    <col min="7" max="7" width="11.375" style="31" customWidth="1"/>
    <col min="8" max="17" width="12.625" style="31" customWidth="1"/>
    <col min="18" max="16384" width="12.625" style="31" customWidth="1"/>
  </cols>
  <sheetData>
    <row r="1" spans="1:17" ht="24">
      <c r="A1" s="81" t="s">
        <v>25</v>
      </c>
      <c r="B1" s="81"/>
      <c r="C1" s="81"/>
      <c r="D1" s="81"/>
      <c r="E1" s="81"/>
      <c r="F1" s="81"/>
      <c r="N1" s="32"/>
      <c r="O1" s="32" t="s">
        <v>40</v>
      </c>
      <c r="P1" s="32" t="s">
        <v>41</v>
      </c>
      <c r="Q1" s="32" t="s">
        <v>42</v>
      </c>
    </row>
    <row r="2" spans="1:17" ht="21" customHeight="1" thickBot="1">
      <c r="A2" s="33" t="s">
        <v>27</v>
      </c>
      <c r="B2" s="44" t="s">
        <v>5</v>
      </c>
      <c r="C2" s="84" t="s">
        <v>47</v>
      </c>
      <c r="D2" s="84"/>
      <c r="E2" s="84"/>
      <c r="N2" s="32" t="s">
        <v>36</v>
      </c>
      <c r="O2" s="35">
        <v>0.063</v>
      </c>
      <c r="P2" s="35">
        <v>0.03</v>
      </c>
      <c r="Q2" s="35">
        <v>0.025</v>
      </c>
    </row>
    <row r="3" spans="1:17" ht="21" customHeight="1" thickBot="1">
      <c r="A3" s="36" t="s">
        <v>6</v>
      </c>
      <c r="B3" s="37">
        <f>IF(ROUNDDOWN(SUM(B23:D23,B29:C29,B35:C35,B41:C41,B47:C47,B53:C53)/100,0)*100&gt;O5,O5,ROUNDDOWN(SUM(B23:D23,B29:C29,B35:C35,B41:C41,B47:C47,B53:C53)/100,0)*100)</f>
        <v>0</v>
      </c>
      <c r="C3" s="85" t="str">
        <f>"　〔年間課税限度額は、  "&amp;O5/10000&amp;"万円です。〕"</f>
        <v>　〔年間課税限度額は、  65万円です。〕</v>
      </c>
      <c r="D3" s="86"/>
      <c r="E3" s="86"/>
      <c r="F3" s="86"/>
      <c r="G3" s="86"/>
      <c r="N3" s="32" t="s">
        <v>37</v>
      </c>
      <c r="O3" s="38">
        <v>17700</v>
      </c>
      <c r="P3" s="38">
        <v>7900</v>
      </c>
      <c r="Q3" s="38">
        <v>9400</v>
      </c>
    </row>
    <row r="4" spans="1:17" ht="21" customHeight="1" thickBot="1">
      <c r="A4" s="36" t="s">
        <v>7</v>
      </c>
      <c r="B4" s="37">
        <f>IF(ROUNDDOWN(SUM(B24:D24,B30:C30,B36:C36,B42:C42,B48:C48,B54:C54)/100,0)*100&gt;P5,P5,ROUNDDOWN(SUM(B24:D24,B30:C30,B36:C36,B42:C42,B48:C48,B54:C54)/100,0)*100)</f>
        <v>0</v>
      </c>
      <c r="C4" s="85" t="str">
        <f>"　〔年間課税限度額は、  "&amp;P5/10000&amp;"万円です。〕"</f>
        <v>　〔年間課税限度額は、  22万円です。〕</v>
      </c>
      <c r="D4" s="86"/>
      <c r="E4" s="86"/>
      <c r="F4" s="86"/>
      <c r="G4" s="86"/>
      <c r="N4" s="32" t="s">
        <v>38</v>
      </c>
      <c r="O4" s="38">
        <v>14800</v>
      </c>
      <c r="P4" s="38">
        <v>6900</v>
      </c>
      <c r="Q4" s="38">
        <v>6300</v>
      </c>
    </row>
    <row r="5" spans="1:17" ht="21" customHeight="1" thickBot="1">
      <c r="A5" s="36" t="s">
        <v>8</v>
      </c>
      <c r="B5" s="37">
        <f>IF(ROUNDDOWN(SUM(B25:D25,B31:C31,B37:C37,B43:C43,B49:C49,B55:C55)/100,0)*100&gt;Q5,Q5,ROUNDDOWN(SUM(B25:D25,B31:C31,B37:C37,B43:C43,B49:C49,B55:C55)/100,0)*100)</f>
        <v>0</v>
      </c>
      <c r="C5" s="85" t="str">
        <f>"　〔年間課税限度額は、  "&amp;Q5/10000&amp;"万円です。〕"</f>
        <v>　〔年間課税限度額は、  17万円です。〕</v>
      </c>
      <c r="D5" s="86"/>
      <c r="E5" s="86"/>
      <c r="F5" s="86"/>
      <c r="G5" s="86"/>
      <c r="N5" s="32" t="s">
        <v>39</v>
      </c>
      <c r="O5" s="38">
        <v>650000</v>
      </c>
      <c r="P5" s="38">
        <v>220000</v>
      </c>
      <c r="Q5" s="38">
        <v>170000</v>
      </c>
    </row>
    <row r="6" spans="1:17" ht="22.5" customHeight="1" thickBot="1">
      <c r="A6" s="39" t="s">
        <v>15</v>
      </c>
      <c r="B6" s="40">
        <f>ROUND(SUM(B3:B5),0)</f>
        <v>0</v>
      </c>
      <c r="C6" s="85" t="str">
        <f>"　〔年間課税限度額は、 "&amp;(O5+P5+Q5)/10000&amp;"万円です。〕"</f>
        <v>　〔年間課税限度額は、 104万円です。〕</v>
      </c>
      <c r="D6" s="86"/>
      <c r="E6" s="86"/>
      <c r="F6" s="86"/>
      <c r="G6" s="86"/>
      <c r="N6" s="32" t="s">
        <v>44</v>
      </c>
      <c r="O6" s="38">
        <v>295000</v>
      </c>
      <c r="P6" s="41" t="s">
        <v>45</v>
      </c>
      <c r="Q6" s="38">
        <v>545000</v>
      </c>
    </row>
    <row r="7" ht="5.25" customHeight="1"/>
    <row r="8" spans="1:15" ht="17.25" customHeight="1">
      <c r="A8" s="84" t="s">
        <v>21</v>
      </c>
      <c r="B8" s="84"/>
      <c r="C8" s="84"/>
      <c r="D8" s="84"/>
      <c r="E8" s="84"/>
      <c r="F8" s="84"/>
      <c r="G8" s="84"/>
      <c r="O8" s="42"/>
    </row>
    <row r="9" spans="1:15" ht="17.25" customHeight="1">
      <c r="A9" s="84" t="s">
        <v>49</v>
      </c>
      <c r="B9" s="84"/>
      <c r="C9" s="84"/>
      <c r="D9" s="84"/>
      <c r="E9" s="84"/>
      <c r="F9" s="84"/>
      <c r="G9" s="84"/>
      <c r="O9" s="42"/>
    </row>
    <row r="10" ht="6" customHeight="1">
      <c r="O10" s="42"/>
    </row>
    <row r="11" spans="1:7" ht="25.5" customHeight="1">
      <c r="A11" s="87" t="s">
        <v>43</v>
      </c>
      <c r="B11" s="87"/>
      <c r="C11" s="87"/>
      <c r="D11" s="87"/>
      <c r="E11" s="87"/>
      <c r="F11" s="87"/>
      <c r="G11" s="87"/>
    </row>
    <row r="12" spans="1:7" ht="25.5" customHeight="1">
      <c r="A12" s="80" t="str">
        <f>"●基礎控除額(43万円)＋"&amp;O6/10000&amp;"万円(被保険者数(※2))+10万円×(給与所得者の数(※1)-1)
  以下の場合は、５割軽減が適用されます。"</f>
        <v>●基礎控除額(43万円)＋29.5万円(被保険者数(※2))+10万円×(給与所得者の数(※1)-1)
  以下の場合は、５割軽減が適用されます。</v>
      </c>
      <c r="B12" s="80"/>
      <c r="C12" s="80"/>
      <c r="D12" s="80"/>
      <c r="E12" s="80"/>
      <c r="F12" s="80"/>
      <c r="G12" s="80"/>
    </row>
    <row r="13" spans="1:7" ht="25.5" customHeight="1">
      <c r="A13" s="80" t="str">
        <f>"●基礎控除額(43万円)＋"&amp;Q6/10000&amp;"万円(被保険者数(※2))+10万円×(給与所得者の数(※1)-1)
  以下の場合は、２割軽減が適用されます。"</f>
        <v>●基礎控除額(43万円)＋54.5万円(被保険者数(※2))+10万円×(給与所得者の数(※1)-1)
  以下の場合は、２割軽減が適用されます。</v>
      </c>
      <c r="B13" s="80"/>
      <c r="C13" s="80"/>
      <c r="D13" s="80"/>
      <c r="E13" s="80"/>
      <c r="F13" s="80"/>
      <c r="G13" s="80"/>
    </row>
    <row r="14" ht="7.5" customHeight="1"/>
    <row r="15" spans="1:7" ht="13.5">
      <c r="A15" s="84" t="s">
        <v>23</v>
      </c>
      <c r="B15" s="84"/>
      <c r="C15" s="84"/>
      <c r="D15" s="84"/>
      <c r="E15" s="84"/>
      <c r="F15" s="84"/>
      <c r="G15" s="84"/>
    </row>
    <row r="16" spans="1:7" ht="13.5">
      <c r="A16" s="79" t="s">
        <v>50</v>
      </c>
      <c r="B16" s="79"/>
      <c r="C16" s="79"/>
      <c r="D16" s="79"/>
      <c r="E16" s="79"/>
      <c r="F16" s="79"/>
      <c r="G16" s="79"/>
    </row>
    <row r="17" spans="1:7" ht="13.5">
      <c r="A17" s="84" t="s">
        <v>22</v>
      </c>
      <c r="B17" s="84"/>
      <c r="C17" s="84"/>
      <c r="D17" s="84"/>
      <c r="E17" s="84"/>
      <c r="F17" s="84"/>
      <c r="G17" s="84"/>
    </row>
    <row r="18" ht="5.25" customHeight="1"/>
    <row r="19" spans="1:5" ht="13.5">
      <c r="A19" s="84" t="s">
        <v>20</v>
      </c>
      <c r="B19" s="84"/>
      <c r="C19" s="84"/>
      <c r="D19" s="84"/>
      <c r="E19" s="84"/>
    </row>
    <row r="20" spans="1:5" ht="13.5">
      <c r="A20" s="43"/>
      <c r="B20" s="43"/>
      <c r="C20" s="43"/>
      <c r="D20" s="43"/>
      <c r="E20" s="43"/>
    </row>
    <row r="21" spans="1:4" ht="13.5" customHeight="1" thickBot="1">
      <c r="A21" s="31" t="s">
        <v>10</v>
      </c>
      <c r="D21" s="44" t="s">
        <v>5</v>
      </c>
    </row>
    <row r="22" spans="1:7" ht="13.5" customHeight="1" thickBot="1">
      <c r="A22" s="45"/>
      <c r="B22" s="46" t="s">
        <v>2</v>
      </c>
      <c r="C22" s="47" t="s">
        <v>1</v>
      </c>
      <c r="D22" s="48" t="s">
        <v>0</v>
      </c>
      <c r="E22" s="49"/>
      <c r="F22" s="50"/>
      <c r="G22" s="50"/>
    </row>
    <row r="23" spans="1:7" ht="13.5" customHeight="1">
      <c r="A23" s="51" t="s">
        <v>6</v>
      </c>
      <c r="B23" s="52">
        <f>IF(('入力シート'!C11-430000)*O2*'入力シート'!C12/12&gt;=0,('入力シート'!C11-430000)*O2*'入力シート'!C12/12,0)</f>
        <v>0</v>
      </c>
      <c r="C23" s="53">
        <f>O3*'入力シート'!C12/12*D57</f>
        <v>0</v>
      </c>
      <c r="D23" s="54">
        <f>IF(O4*'入力シート'!C12/12*D57&gt;O4*'入力シート'!K28*D57,O4*'入力シート'!C12/12*D57,O4*'入力シート'!K28*D57)</f>
        <v>0</v>
      </c>
      <c r="E23" s="55"/>
      <c r="F23" s="50"/>
      <c r="G23" s="50"/>
    </row>
    <row r="24" spans="1:7" ht="13.5" customHeight="1">
      <c r="A24" s="56" t="s">
        <v>7</v>
      </c>
      <c r="B24" s="57">
        <f>IF(('入力シート'!C11-430000)*P2*'入力シート'!C12/12&gt;=0,('入力シート'!C11-430000)*P2*'入力シート'!C12/12,0)</f>
        <v>0</v>
      </c>
      <c r="C24" s="58">
        <f>P3*'入力シート'!C12/12*D57</f>
        <v>0</v>
      </c>
      <c r="D24" s="59">
        <f>IF(P4*'入力シート'!C12/12*D57&gt;P4*'入力シート'!K28*D57,P4*'入力シート'!C12/12*D57,P4*'入力シート'!K28*D57)</f>
        <v>0</v>
      </c>
      <c r="E24" s="55"/>
      <c r="F24" s="50"/>
      <c r="G24" s="50"/>
    </row>
    <row r="25" spans="1:7" ht="13.5" customHeight="1" thickBot="1">
      <c r="A25" s="60" t="s">
        <v>8</v>
      </c>
      <c r="B25" s="61">
        <f>IF('入力シート'!G11,IF(('入力シート'!C11-430000)*Q2*'入力シート'!C12/12&gt;=0,('入力シート'!C11-430000)*Q2*'入力シート'!C12/12,0),0)</f>
        <v>0</v>
      </c>
      <c r="C25" s="62">
        <f>IF('入力シート'!G11,Q3*E25*D57,0)</f>
        <v>0</v>
      </c>
      <c r="D25" s="68">
        <f>IF(F25&gt;0,Q4*F25*D57,0)</f>
        <v>0</v>
      </c>
      <c r="E25" s="18">
        <f>IF('入力シート'!G11,'入力シート'!C12/12,0)</f>
        <v>0</v>
      </c>
      <c r="F25" s="23">
        <f>IF(E25&gt;D56,E25,D56)</f>
        <v>0</v>
      </c>
      <c r="G25" s="50"/>
    </row>
    <row r="26" ht="13.5" customHeight="1"/>
    <row r="27" spans="1:7" ht="13.5" customHeight="1" thickBot="1">
      <c r="A27" s="31" t="s">
        <v>9</v>
      </c>
      <c r="C27" s="44" t="s">
        <v>5</v>
      </c>
      <c r="D27" s="69"/>
      <c r="E27" s="69"/>
      <c r="F27" s="69"/>
      <c r="G27" s="69"/>
    </row>
    <row r="28" spans="1:7" ht="13.5" customHeight="1" thickBot="1">
      <c r="A28" s="45"/>
      <c r="B28" s="46" t="s">
        <v>2</v>
      </c>
      <c r="C28" s="63" t="s">
        <v>1</v>
      </c>
      <c r="D28" s="88"/>
      <c r="E28" s="89"/>
      <c r="F28" s="89"/>
      <c r="G28" s="69"/>
    </row>
    <row r="29" spans="1:7" ht="13.5" customHeight="1">
      <c r="A29" s="51" t="s">
        <v>6</v>
      </c>
      <c r="B29" s="52">
        <f>IF(('入力シート'!C14-430000)*O2*'入力シート'!C15/12&gt;=0,('入力シート'!C14-430000)*O2*'入力シート'!C15/12,0)</f>
        <v>0</v>
      </c>
      <c r="C29" s="64">
        <f>O3*'入力シート'!C15/12*D57</f>
        <v>0</v>
      </c>
      <c r="D29" s="88"/>
      <c r="E29" s="89"/>
      <c r="F29" s="89"/>
      <c r="G29" s="69"/>
    </row>
    <row r="30" spans="1:7" ht="13.5" customHeight="1">
      <c r="A30" s="56" t="s">
        <v>7</v>
      </c>
      <c r="B30" s="57">
        <f>IF(('入力シート'!C14-430000)*P2*'入力シート'!C15/12&gt;=0,('入力シート'!C14-430000)*P2*'入力シート'!C15/12,0)</f>
        <v>0</v>
      </c>
      <c r="C30" s="65">
        <f>P3*'入力シート'!C15/12*D57</f>
        <v>0</v>
      </c>
      <c r="D30" s="16"/>
      <c r="E30" s="17"/>
      <c r="F30" s="17"/>
      <c r="G30" s="69"/>
    </row>
    <row r="31" spans="1:7" ht="13.5" customHeight="1" thickBot="1">
      <c r="A31" s="60" t="s">
        <v>8</v>
      </c>
      <c r="B31" s="61">
        <f>IF('入力シート'!G14,IF(('入力シート'!C14-430000)*Q2*'入力シート'!C15/12&gt;=0,('入力シート'!C14-430000)*Q2*'入力シート'!C15/12,0),0)</f>
        <v>0</v>
      </c>
      <c r="C31" s="66">
        <f>IF('入力シート'!G14,Q3*'入力シート'!C15/12*D57,0)</f>
        <v>0</v>
      </c>
      <c r="D31" s="18">
        <f>IF(C31&gt;0,1*'入力シート'!C15/12,0)</f>
        <v>0</v>
      </c>
      <c r="E31" s="17"/>
      <c r="F31" s="17"/>
      <c r="G31" s="69"/>
    </row>
    <row r="32" spans="4:7" ht="13.5" customHeight="1">
      <c r="D32" s="19"/>
      <c r="E32" s="20"/>
      <c r="F32" s="20"/>
      <c r="G32" s="69"/>
    </row>
    <row r="33" spans="1:7" ht="13.5" customHeight="1" thickBot="1">
      <c r="A33" s="31" t="s">
        <v>11</v>
      </c>
      <c r="C33" s="44" t="s">
        <v>5</v>
      </c>
      <c r="D33" s="19"/>
      <c r="E33" s="20"/>
      <c r="F33" s="20"/>
      <c r="G33" s="69"/>
    </row>
    <row r="34" spans="1:7" ht="13.5" customHeight="1" thickBot="1">
      <c r="A34" s="45"/>
      <c r="B34" s="46" t="s">
        <v>2</v>
      </c>
      <c r="C34" s="63" t="s">
        <v>1</v>
      </c>
      <c r="D34" s="19"/>
      <c r="E34" s="20"/>
      <c r="F34" s="20"/>
      <c r="G34" s="69"/>
    </row>
    <row r="35" spans="1:7" ht="13.5" customHeight="1">
      <c r="A35" s="51" t="s">
        <v>6</v>
      </c>
      <c r="B35" s="52">
        <f>IF(('入力シート'!C17-430000)*O2*'入力シート'!C18/12&gt;=0,('入力シート'!C17-430000)*O2*'入力シート'!C18/12,0)</f>
        <v>0</v>
      </c>
      <c r="C35" s="64">
        <f>O3*'入力シート'!C18/12*D57</f>
        <v>0</v>
      </c>
      <c r="D35" s="21"/>
      <c r="E35" s="20"/>
      <c r="F35" s="20"/>
      <c r="G35" s="69"/>
    </row>
    <row r="36" spans="1:7" ht="13.5" customHeight="1">
      <c r="A36" s="56" t="s">
        <v>7</v>
      </c>
      <c r="B36" s="57">
        <f>IF(('入力シート'!C17-430000)*P2*'入力シート'!C18/12&gt;0,('入力シート'!C17-430000)*P2*'入力シート'!C18/12,0)</f>
        <v>0</v>
      </c>
      <c r="C36" s="65">
        <f>P3*'入力シート'!C18/12*D57</f>
        <v>0</v>
      </c>
      <c r="D36" s="21"/>
      <c r="E36" s="20"/>
      <c r="F36" s="20"/>
      <c r="G36" s="69"/>
    </row>
    <row r="37" spans="1:7" ht="13.5" customHeight="1" thickBot="1">
      <c r="A37" s="60" t="s">
        <v>8</v>
      </c>
      <c r="B37" s="61">
        <f>IF('入力シート'!G17,IF(('入力シート'!C17-430000)*Q2*'入力シート'!C18/12&gt;=0,('入力シート'!C17-430000)*Q2*'入力シート'!C18/12,0),0)</f>
        <v>0</v>
      </c>
      <c r="C37" s="66">
        <f>IF('入力シート'!G17,Q3*'入力シート'!C18/12*D57,0)</f>
        <v>0</v>
      </c>
      <c r="D37" s="18">
        <f>IF(C37&gt;0,1*'入力シート'!C18/12,0)</f>
        <v>0</v>
      </c>
      <c r="E37" s="20"/>
      <c r="F37" s="20"/>
      <c r="G37" s="69"/>
    </row>
    <row r="38" spans="4:7" ht="13.5" customHeight="1">
      <c r="D38" s="20"/>
      <c r="E38" s="19"/>
      <c r="F38" s="20"/>
      <c r="G38" s="69"/>
    </row>
    <row r="39" spans="1:7" ht="13.5" customHeight="1" thickBot="1">
      <c r="A39" s="31" t="s">
        <v>12</v>
      </c>
      <c r="C39" s="44" t="s">
        <v>5</v>
      </c>
      <c r="D39" s="20"/>
      <c r="E39" s="19"/>
      <c r="F39" s="20"/>
      <c r="G39" s="69"/>
    </row>
    <row r="40" spans="1:7" ht="13.5" customHeight="1" thickBot="1">
      <c r="A40" s="45"/>
      <c r="B40" s="46" t="s">
        <v>2</v>
      </c>
      <c r="C40" s="63" t="s">
        <v>1</v>
      </c>
      <c r="D40" s="19"/>
      <c r="E40" s="20"/>
      <c r="F40" s="20"/>
      <c r="G40" s="69"/>
    </row>
    <row r="41" spans="1:7" ht="13.5" customHeight="1">
      <c r="A41" s="51" t="s">
        <v>6</v>
      </c>
      <c r="B41" s="52">
        <f>IF(('入力シート'!C20-430000)*O2*'入力シート'!C21/12&gt;=0,('入力シート'!C20-430000)*O2*'入力シート'!C21/12,0)</f>
        <v>0</v>
      </c>
      <c r="C41" s="64">
        <f>O3*'入力シート'!C21/12*D57</f>
        <v>0</v>
      </c>
      <c r="D41" s="21"/>
      <c r="E41" s="20"/>
      <c r="F41" s="20"/>
      <c r="G41" s="69"/>
    </row>
    <row r="42" spans="1:7" ht="13.5" customHeight="1">
      <c r="A42" s="56" t="s">
        <v>7</v>
      </c>
      <c r="B42" s="57">
        <f>IF(('入力シート'!C20-430000)*P2*'入力シート'!C21/12&gt;=0,('入力シート'!C20-430000)*P2*'入力シート'!C21/12,0)</f>
        <v>0</v>
      </c>
      <c r="C42" s="65">
        <f>P3*'入力シート'!C21/12*D57</f>
        <v>0</v>
      </c>
      <c r="D42" s="21"/>
      <c r="E42" s="20"/>
      <c r="F42" s="20"/>
      <c r="G42" s="69"/>
    </row>
    <row r="43" spans="1:7" ht="13.5" customHeight="1" thickBot="1">
      <c r="A43" s="60" t="s">
        <v>8</v>
      </c>
      <c r="B43" s="61">
        <f>IF('入力シート'!G20,IF(('入力シート'!C20-430000)*Q2*'入力シート'!C21/12&gt;=0,('入力シート'!C20-430000)*Q2*'入力シート'!C21/12,0),0)</f>
        <v>0</v>
      </c>
      <c r="C43" s="66">
        <f>IF('入力シート'!G20,Q3*'入力シート'!C21/12*D57,0)</f>
        <v>0</v>
      </c>
      <c r="D43" s="18">
        <f>IF(C43&gt;0,1*'入力シート'!C21/12,0)</f>
        <v>0</v>
      </c>
      <c r="E43" s="20"/>
      <c r="F43" s="20"/>
      <c r="G43" s="69"/>
    </row>
    <row r="44" spans="4:7" ht="13.5" customHeight="1">
      <c r="D44" s="19"/>
      <c r="E44" s="20"/>
      <c r="F44" s="20"/>
      <c r="G44" s="69"/>
    </row>
    <row r="45" spans="1:7" ht="13.5" customHeight="1" thickBot="1">
      <c r="A45" s="31" t="s">
        <v>13</v>
      </c>
      <c r="C45" s="44" t="s">
        <v>5</v>
      </c>
      <c r="D45" s="19"/>
      <c r="E45" s="20"/>
      <c r="F45" s="20"/>
      <c r="G45" s="69"/>
    </row>
    <row r="46" spans="1:7" ht="13.5" customHeight="1" thickBot="1">
      <c r="A46" s="45"/>
      <c r="B46" s="46" t="s">
        <v>2</v>
      </c>
      <c r="C46" s="63" t="s">
        <v>1</v>
      </c>
      <c r="D46" s="19"/>
      <c r="E46" s="20"/>
      <c r="F46" s="20"/>
      <c r="G46" s="69"/>
    </row>
    <row r="47" spans="1:7" ht="13.5" customHeight="1">
      <c r="A47" s="51" t="s">
        <v>6</v>
      </c>
      <c r="B47" s="52">
        <f>IF(('入力シート'!C23-430000)*O2*'入力シート'!C24/12&gt;=0,('入力シート'!C23-430000)*O2*'入力シート'!C24/12,0)</f>
        <v>0</v>
      </c>
      <c r="C47" s="64">
        <f>O3*'入力シート'!C24/12*D57</f>
        <v>0</v>
      </c>
      <c r="D47" s="21"/>
      <c r="E47" s="20"/>
      <c r="F47" s="20"/>
      <c r="G47" s="69"/>
    </row>
    <row r="48" spans="1:7" ht="13.5" customHeight="1">
      <c r="A48" s="56" t="s">
        <v>7</v>
      </c>
      <c r="B48" s="57">
        <f>IF(('入力シート'!C23-430000)*P2*'入力シート'!C24/12&gt;=0,('入力シート'!C23-430000)*P2*'入力シート'!C24/12,0)</f>
        <v>0</v>
      </c>
      <c r="C48" s="65">
        <f>P3*'入力シート'!C24/12*D57</f>
        <v>0</v>
      </c>
      <c r="D48" s="21"/>
      <c r="E48" s="20"/>
      <c r="F48" s="20"/>
      <c r="G48" s="69"/>
    </row>
    <row r="49" spans="1:7" ht="13.5" customHeight="1" thickBot="1">
      <c r="A49" s="60" t="s">
        <v>8</v>
      </c>
      <c r="B49" s="61">
        <f>IF('入力シート'!G23,IF(('入力シート'!C23-430000)*Q2*'入力シート'!C24/12&gt;=0,('入力シート'!C23-430000)*Q2/100*'入力シート'!C24/12,0),0)</f>
        <v>0</v>
      </c>
      <c r="C49" s="66">
        <f>IF('入力シート'!G23,Q3*'入力シート'!C24/12*D57,0)</f>
        <v>0</v>
      </c>
      <c r="D49" s="18">
        <f>IF(C49&gt;0,1*'入力シート'!C24/12,0)</f>
        <v>0</v>
      </c>
      <c r="E49" s="20"/>
      <c r="F49" s="20"/>
      <c r="G49" s="69"/>
    </row>
    <row r="50" spans="4:7" ht="13.5" customHeight="1">
      <c r="D50" s="19"/>
      <c r="E50" s="20"/>
      <c r="F50" s="20"/>
      <c r="G50" s="69"/>
    </row>
    <row r="51" spans="1:7" ht="13.5" customHeight="1" thickBot="1">
      <c r="A51" s="31" t="s">
        <v>14</v>
      </c>
      <c r="C51" s="44" t="s">
        <v>5</v>
      </c>
      <c r="D51" s="19"/>
      <c r="E51" s="20"/>
      <c r="F51" s="20"/>
      <c r="G51" s="69"/>
    </row>
    <row r="52" spans="1:7" ht="13.5" customHeight="1" thickBot="1">
      <c r="A52" s="45"/>
      <c r="B52" s="46" t="s">
        <v>2</v>
      </c>
      <c r="C52" s="63" t="s">
        <v>1</v>
      </c>
      <c r="D52" s="19"/>
      <c r="E52" s="20"/>
      <c r="F52" s="20"/>
      <c r="G52" s="69"/>
    </row>
    <row r="53" spans="1:7" ht="13.5" customHeight="1">
      <c r="A53" s="51" t="s">
        <v>6</v>
      </c>
      <c r="B53" s="52">
        <f>IF(('入力シート'!C26-430000)*O2*'入力シート'!C27/12&gt;=0,('入力シート'!C26-430000)*O2*'入力シート'!C27/12,0)</f>
        <v>0</v>
      </c>
      <c r="C53" s="64">
        <f>O3*'入力シート'!C27/12*D57</f>
        <v>0</v>
      </c>
      <c r="D53" s="21"/>
      <c r="E53" s="20"/>
      <c r="F53" s="20"/>
      <c r="G53" s="69"/>
    </row>
    <row r="54" spans="1:7" ht="13.5" customHeight="1">
      <c r="A54" s="56" t="s">
        <v>7</v>
      </c>
      <c r="B54" s="57">
        <f>IF(('入力シート'!C26-430000)*P2*'入力シート'!C27/12&gt;=0,('入力シート'!C26-430000)*P2*'入力シート'!C27/12,0)</f>
        <v>0</v>
      </c>
      <c r="C54" s="65">
        <f>P3*'入力シート'!C27/12*D57</f>
        <v>0</v>
      </c>
      <c r="D54" s="21"/>
      <c r="E54" s="20"/>
      <c r="F54" s="20"/>
      <c r="G54" s="69"/>
    </row>
    <row r="55" spans="1:7" ht="13.5" customHeight="1" thickBot="1">
      <c r="A55" s="60" t="s">
        <v>8</v>
      </c>
      <c r="B55" s="61">
        <f>IF('入力シート'!G26,IF(('入力シート'!C26-430000)*Q2*'入力シート'!C27/12&gt;=0,('入力シート'!C26-430000)*Q2*'入力シート'!C27/12,0),0)</f>
        <v>0</v>
      </c>
      <c r="C55" s="66">
        <f>IF('入力シート'!G26,Q3*'入力シート'!C27/12*D57,0)</f>
        <v>0</v>
      </c>
      <c r="D55" s="18">
        <f>IF(C55&gt;0,1*'入力シート'!C27/12,0)</f>
        <v>0</v>
      </c>
      <c r="E55" s="20"/>
      <c r="F55" s="20"/>
      <c r="G55" s="69"/>
    </row>
    <row r="56" spans="4:7" ht="13.5" customHeight="1">
      <c r="D56" s="20">
        <f>MAX(D30:D55)</f>
        <v>0</v>
      </c>
      <c r="E56" s="20"/>
      <c r="F56" s="20"/>
      <c r="G56" s="69"/>
    </row>
    <row r="57" spans="2:7" ht="22.5" customHeight="1" thickBot="1">
      <c r="B57" s="34" t="s">
        <v>5</v>
      </c>
      <c r="D57" s="20">
        <f>IF(D58=0,1,IF(D58=1,0.8,IF(D58=2,0.5,0.3)))</f>
        <v>0.3</v>
      </c>
      <c r="E57" s="20"/>
      <c r="F57" s="20"/>
      <c r="G57" s="69"/>
    </row>
    <row r="58" spans="1:7" ht="13.5">
      <c r="A58" s="77" t="s">
        <v>48</v>
      </c>
      <c r="B58" s="78"/>
      <c r="D58" s="20">
        <f>SUM(D59:D61)</f>
        <v>3</v>
      </c>
      <c r="E58" s="20"/>
      <c r="F58" s="20"/>
      <c r="G58" s="69"/>
    </row>
    <row r="59" spans="1:7" ht="14.25" thickBot="1">
      <c r="A59" s="82">
        <f>'入力シート'!M28</f>
        <v>0</v>
      </c>
      <c r="B59" s="83"/>
      <c r="C59" s="67"/>
      <c r="D59" s="20">
        <f>IF(430000+(100000*('入力シート'!H29-1))+1&gt;A59,1,0)</f>
        <v>1</v>
      </c>
      <c r="E59" s="20"/>
      <c r="F59" s="20"/>
      <c r="G59" s="69"/>
    </row>
    <row r="60" spans="4:7" ht="13.5">
      <c r="D60" s="20">
        <f>IF(430000+(O6*('入力シート'!J28))+(100000*('入力シート'!H29-1))+1&gt;A59,1,0)</f>
        <v>1</v>
      </c>
      <c r="E60" s="20"/>
      <c r="F60" s="20"/>
      <c r="G60" s="69"/>
    </row>
    <row r="61" spans="4:6" ht="13.5">
      <c r="D61" s="20">
        <f>IF(430000+(Q6*('入力シート'!J28))+(100000*('入力シート'!H29-1))+1&gt;A59,1,0)</f>
        <v>1</v>
      </c>
      <c r="E61" s="20"/>
      <c r="F61" s="20"/>
    </row>
  </sheetData>
  <sheetProtection password="C416" sheet="1" selectLockedCells="1"/>
  <mergeCells count="18">
    <mergeCell ref="C2:E2"/>
    <mergeCell ref="C6:G6"/>
    <mergeCell ref="A11:G11"/>
    <mergeCell ref="D28:F29"/>
    <mergeCell ref="A17:G17"/>
    <mergeCell ref="A8:G8"/>
    <mergeCell ref="A15:G15"/>
    <mergeCell ref="A9:G9"/>
    <mergeCell ref="A58:B58"/>
    <mergeCell ref="A16:G16"/>
    <mergeCell ref="A12:G12"/>
    <mergeCell ref="A13:G13"/>
    <mergeCell ref="A1:F1"/>
    <mergeCell ref="A59:B59"/>
    <mergeCell ref="A19:E19"/>
    <mergeCell ref="C3:G3"/>
    <mergeCell ref="C4:G4"/>
    <mergeCell ref="C5:G5"/>
  </mergeCells>
  <printOptions/>
  <pageMargins left="0.7874015748031497" right="0.7874015748031497" top="0.37" bottom="0.2" header="0.23" footer="0.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U0105</dc:creator>
  <cp:keywords/>
  <dc:description/>
  <cp:lastModifiedBy>U2004</cp:lastModifiedBy>
  <cp:lastPrinted>2024-01-25T01:10:24Z</cp:lastPrinted>
  <dcterms:created xsi:type="dcterms:W3CDTF">2009-02-03T02:00:12Z</dcterms:created>
  <dcterms:modified xsi:type="dcterms:W3CDTF">2024-03-19T05:43:16Z</dcterms:modified>
  <cp:category/>
  <cp:version/>
  <cp:contentType/>
  <cp:contentStatus/>
</cp:coreProperties>
</file>